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yfiles\TEACHING\FINC302\"/>
    </mc:Choice>
  </mc:AlternateContent>
  <bookViews>
    <workbookView xWindow="0" yWindow="0" windowWidth="11490" windowHeight="7605"/>
  </bookViews>
  <sheets>
    <sheet name="KiwiSaver Taxation Example" sheetId="1" r:id="rId1"/>
  </sheets>
  <definedNames>
    <definedName name="solver_adj" localSheetId="0" hidden="1">'KiwiSaver Taxation Example'!#REF!</definedName>
    <definedName name="solver_cvg" localSheetId="0" hidden="1">0.0001</definedName>
    <definedName name="solver_drv" localSheetId="0" hidden="1">2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lhs1" localSheetId="0" hidden="1">'KiwiSaver Taxation Example'!$D$9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2</definedName>
    <definedName name="solver_nod" localSheetId="0" hidden="1">2147483647</definedName>
    <definedName name="solver_num" localSheetId="0" hidden="1">0</definedName>
    <definedName name="solver_nwt" localSheetId="0" hidden="1">1</definedName>
    <definedName name="solver_opt" localSheetId="0" hidden="1">'KiwiSaver Taxation Example'!#REF!</definedName>
    <definedName name="solver_pre" localSheetId="0" hidden="1">0.000001</definedName>
    <definedName name="solver_rbv" localSheetId="0" hidden="1">2</definedName>
    <definedName name="solver_rel1" localSheetId="0" hidden="1">3</definedName>
    <definedName name="solver_rhs1" localSheetId="0" hidden="1">0</definedName>
    <definedName name="solver_rlx" localSheetId="0" hidden="1">2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3</definedName>
    <definedName name="solver_val" localSheetId="0" hidden="1">0</definedName>
    <definedName name="solver_ver" localSheetId="0" hidden="1">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7" i="1" l="1"/>
  <c r="D23" i="1" l="1"/>
  <c r="B4" i="1" l="1"/>
  <c r="B39" i="1" l="1"/>
  <c r="B30" i="1"/>
  <c r="B42" i="1"/>
  <c r="B41" i="1"/>
  <c r="B40" i="1"/>
  <c r="B31" i="1"/>
  <c r="B32" i="1"/>
  <c r="B33" i="1"/>
  <c r="B5" i="1" l="1"/>
  <c r="B9" i="1" l="1"/>
  <c r="B14" i="1"/>
  <c r="B15" i="1"/>
  <c r="B6" i="1"/>
  <c r="D31" i="1" l="1"/>
  <c r="D38" i="1"/>
  <c r="F33" i="1"/>
  <c r="F31" i="1"/>
  <c r="D39" i="1"/>
  <c r="D40" i="1"/>
  <c r="F30" i="1"/>
  <c r="D32" i="1"/>
  <c r="D33" i="1"/>
  <c r="F29" i="1"/>
  <c r="D41" i="1"/>
  <c r="D42" i="1"/>
  <c r="D30" i="1"/>
  <c r="F32" i="1"/>
  <c r="D29" i="1"/>
  <c r="B24" i="1" s="1" a="1"/>
  <c r="B24" i="1" s="1"/>
  <c r="B19" i="1" s="1"/>
  <c r="B20" i="1" s="1"/>
  <c r="B21" i="1" s="1"/>
  <c r="B23" i="1" l="1" a="1"/>
  <c r="B23" i="1" s="1"/>
  <c r="B16" i="1" a="1"/>
  <c r="B16" i="1" s="1"/>
  <c r="B18" i="1" s="1"/>
  <c r="E31" i="1" l="1"/>
  <c r="E29" i="1"/>
  <c r="E32" i="1"/>
  <c r="E30" i="1"/>
  <c r="E33" i="1"/>
  <c r="D24" i="1" l="1"/>
  <c r="B7" i="1" l="1"/>
  <c r="B8" i="1" s="1"/>
  <c r="B10" i="1" l="1"/>
</calcChain>
</file>

<file path=xl/sharedStrings.xml><?xml version="1.0" encoding="utf-8"?>
<sst xmlns="http://schemas.openxmlformats.org/spreadsheetml/2006/main" count="53" uniqueCount="49">
  <si>
    <t>Annual Salary</t>
  </si>
  <si>
    <r>
      <rPr>
        <b/>
        <sz val="11"/>
        <color theme="1"/>
        <rFont val="Calibri"/>
        <family val="2"/>
        <scheme val="minor"/>
      </rPr>
      <t>Employer</t>
    </r>
    <r>
      <rPr>
        <sz val="11"/>
        <color theme="1"/>
        <rFont val="Calibri"/>
        <family val="2"/>
        <scheme val="minor"/>
      </rPr>
      <t xml:space="preserve"> KS Contribution Rate</t>
    </r>
  </si>
  <si>
    <t>IRD TAX TABLES AS AT MAY 2026</t>
  </si>
  <si>
    <t>Rate</t>
  </si>
  <si>
    <t>Lower</t>
  </si>
  <si>
    <t>Upper</t>
  </si>
  <si>
    <t>Tax</t>
  </si>
  <si>
    <t>https://www.ird.govt.nz/paye-calculator</t>
  </si>
  <si>
    <r>
      <rPr>
        <b/>
        <sz val="11"/>
        <color theme="1"/>
        <rFont val="Calibri"/>
        <family val="2"/>
        <scheme val="minor"/>
      </rPr>
      <t>ESCT</t>
    </r>
    <r>
      <rPr>
        <sz val="11"/>
        <color theme="1"/>
        <rFont val="Calibri"/>
        <family val="2"/>
        <scheme val="minor"/>
      </rPr>
      <t>* (Tax Rate on Employer Contribution)</t>
    </r>
  </si>
  <si>
    <t>https://www.ird.govt.nz/employing-staff/deductions-from-income/employer-superannuation-contriibution-tax-esct</t>
  </si>
  <si>
    <t>Indicator</t>
  </si>
  <si>
    <t>Income</t>
  </si>
  <si>
    <t>Marginal Tax Rate</t>
  </si>
  <si>
    <t>Average Tax Rate</t>
  </si>
  <si>
    <t>Annual Tax Based on Simplification</t>
  </si>
  <si>
    <t>PAYE (Incl. ACC Earner's Levy)</t>
  </si>
  <si>
    <t>ACC Earner's Levy (tunc)</t>
  </si>
  <si>
    <t>Fortnightly Salary Assuming (365/14)F</t>
  </si>
  <si>
    <t>Fortnightly Income Tax (trunc)</t>
  </si>
  <si>
    <r>
      <rPr>
        <b/>
        <sz val="11"/>
        <color theme="1"/>
        <rFont val="Calibri"/>
        <family val="2"/>
        <scheme val="minor"/>
      </rPr>
      <t>Employee</t>
    </r>
    <r>
      <rPr>
        <sz val="11"/>
        <color theme="1"/>
        <rFont val="Calibri"/>
        <family val="2"/>
        <scheme val="minor"/>
      </rPr>
      <t xml:space="preserve"> KS Contribution Rate</t>
    </r>
  </si>
  <si>
    <r>
      <rPr>
        <b/>
        <sz val="11"/>
        <color theme="1"/>
        <rFont val="Calibri"/>
        <family val="2"/>
        <scheme val="minor"/>
      </rPr>
      <t>Employer</t>
    </r>
    <r>
      <rPr>
        <sz val="11"/>
        <color theme="1"/>
        <rFont val="Calibri"/>
        <family val="2"/>
        <scheme val="minor"/>
      </rPr>
      <t xml:space="preserve"> Contribution (Fortnightly; Net)</t>
    </r>
  </si>
  <si>
    <t>Income (Simplified)</t>
  </si>
  <si>
    <r>
      <rPr>
        <b/>
        <sz val="11"/>
        <color theme="1"/>
        <rFont val="Calibri"/>
        <family val="2"/>
        <scheme val="minor"/>
      </rPr>
      <t>Employer</t>
    </r>
    <r>
      <rPr>
        <sz val="11"/>
        <color theme="1"/>
        <rFont val="Calibri"/>
        <family val="2"/>
        <scheme val="minor"/>
      </rPr>
      <t xml:space="preserve"> KS Contribution (Fortnightly; Gross)</t>
    </r>
  </si>
  <si>
    <r>
      <rPr>
        <b/>
        <sz val="11"/>
        <color theme="1"/>
        <rFont val="Calibri"/>
        <family val="2"/>
        <scheme val="minor"/>
      </rPr>
      <t>Employee</t>
    </r>
    <r>
      <rPr>
        <sz val="11"/>
        <color theme="1"/>
        <rFont val="Calibri"/>
        <family val="2"/>
        <scheme val="minor"/>
      </rPr>
      <t xml:space="preserve"> KS Contribution (Fortnightly; Net; trunc)</t>
    </r>
  </si>
  <si>
    <t>Implied Gross Salary Fortnightly Sacrifice</t>
  </si>
  <si>
    <t>Implied Gross Salary Annual Sacrifice ($)</t>
  </si>
  <si>
    <t>Implied Gross Salary Annual Sacrifice (%)</t>
  </si>
  <si>
    <t>Gold cells are non-dynamic and need manual entry of external data</t>
  </si>
  <si>
    <t>https://www.ird.govt.nz/income-tax/income-tax-for-individuals/acc-clients-and-carers/acc-earners-levy-rates</t>
  </si>
  <si>
    <t>https://www.ird.govt.nz/income-tax/income-tax-for-individuals/tax-codes-and-tax-rates-for-individuals/tax-rates-for-individuals</t>
  </si>
  <si>
    <r>
      <rPr>
        <b/>
        <sz val="11"/>
        <color theme="1"/>
        <rFont val="Calibri"/>
        <family val="2"/>
        <scheme val="minor"/>
      </rPr>
      <t>ESCT</t>
    </r>
    <r>
      <rPr>
        <sz val="11"/>
        <color theme="1"/>
        <rFont val="Calibri"/>
        <family val="2"/>
        <scheme val="minor"/>
      </rPr>
      <t xml:space="preserve"> Dollar Tax (Based on Whole Dollars)</t>
    </r>
  </si>
  <si>
    <t>Matches screenshot image below.</t>
  </si>
  <si>
    <t>Choice of 3% (on application), 3.5% (default), 4%, 6%, 8%, 10%.</t>
  </si>
  <si>
    <t>From actual employer payslip.</t>
  </si>
  <si>
    <t>Actual paid salary using (365/14) fortnights per annum.</t>
  </si>
  <si>
    <t>See GOLD income tax table below.</t>
  </si>
  <si>
    <t>ACC Earner's Levy Rate:</t>
  </si>
  <si>
    <t>See GOLD ESCT table below.</t>
  </si>
  <si>
    <t>Income Tax</t>
  </si>
  <si>
    <t>Simplified Annual Salary Assuming 26F</t>
  </si>
  <si>
    <t>IRD calculates fortnightly tax assuming 26 fortnights per annum.</t>
  </si>
  <si>
    <r>
      <t xml:space="preserve">IRD ESCT tax applies to whole-dollar amounts only. </t>
    </r>
    <r>
      <rPr>
        <i/>
        <sz val="11"/>
        <color theme="1"/>
        <rFont val="Calibri"/>
        <family val="2"/>
        <scheme val="minor"/>
      </rPr>
      <t xml:space="preserve">Matches screenshot image below. </t>
    </r>
  </si>
  <si>
    <r>
      <t xml:space="preserve">Aiming for 10%--15% gross salary sacrifice to match </t>
    </r>
    <r>
      <rPr>
        <i/>
        <sz val="11"/>
        <color theme="1"/>
        <rFont val="Calibri"/>
        <family val="2"/>
        <scheme val="minor"/>
      </rPr>
      <t>Ramsey Solutions</t>
    </r>
    <r>
      <rPr>
        <sz val="11"/>
        <color theme="1"/>
        <rFont val="Calibri"/>
        <family val="2"/>
        <scheme val="minor"/>
      </rPr>
      <t xml:space="preserve"> recommendations.</t>
    </r>
  </si>
  <si>
    <t>Required by law to be greater than or equal to 3.5% (minimum raising to 4% April 1, 2028).</t>
  </si>
  <si>
    <t>Timothy Falcon Crack</t>
  </si>
  <si>
    <t>timcrack@alum.mit.edu</t>
  </si>
  <si>
    <t>IRD ESCT TAX RATES AS AT MAY 2026</t>
  </si>
  <si>
    <r>
      <t>Assumes Tax Code "M" and fortnightly pay. See</t>
    </r>
    <r>
      <rPr>
        <i/>
        <sz val="11"/>
        <color theme="1"/>
        <rFont val="Calibri"/>
        <family val="2"/>
        <scheme val="minor"/>
      </rPr>
      <t xml:space="preserve"> screenshot image below.</t>
    </r>
  </si>
  <si>
    <t>KiwiSaver Eployee and Eployer Taxation Example: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</si>
</sst>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_);_(&quot;$&quot;* \(#,##0\);_(&quot;$&quot;* &quot;-&quot;??_);_(@_)"/>
    <numFmt numFmtId="165" formatCode="[$$-409]#,##0.00_);[Red]\([$$-409]#,##0.00\)"/>
    <numFmt numFmtId="166" formatCode="[$$-409]#,##0.00;[Red][$$-409]#,##0.00"/>
    <numFmt numFmtId="167" formatCode="0.000"/>
    <numFmt numFmtId="168" formatCode="0.0000"/>
    <numFmt numFmtId="169" formatCode="0.00000000"/>
    <numFmt numFmtId="170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i/>
      <sz val="10"/>
      <name val="Arial"/>
      <family val="2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2" fontId="0" fillId="0" borderId="0" xfId="0" applyNumberFormat="1"/>
    <xf numFmtId="0" fontId="2" fillId="0" borderId="0" xfId="0" applyFont="1"/>
    <xf numFmtId="164" fontId="3" fillId="3" borderId="0" xfId="2" applyNumberFormat="1" applyFont="1" applyFill="1" applyBorder="1" applyAlignment="1">
      <alignment horizontal="center"/>
    </xf>
    <xf numFmtId="167" fontId="3" fillId="3" borderId="0" xfId="0" applyNumberFormat="1" applyFont="1" applyFill="1" applyBorder="1" applyAlignment="1">
      <alignment horizontal="center"/>
    </xf>
    <xf numFmtId="164" fontId="4" fillId="3" borderId="0" xfId="2" applyNumberFormat="1" applyFont="1" applyFill="1" applyBorder="1" applyAlignment="1">
      <alignment horizontal="center"/>
    </xf>
    <xf numFmtId="0" fontId="5" fillId="0" borderId="0" xfId="4"/>
    <xf numFmtId="44" fontId="0" fillId="0" borderId="0" xfId="2" applyFont="1" applyAlignment="1">
      <alignment horizontal="center"/>
    </xf>
    <xf numFmtId="44" fontId="2" fillId="0" borderId="0" xfId="0" applyNumberFormat="1" applyFont="1"/>
    <xf numFmtId="0" fontId="0" fillId="0" borderId="0" xfId="0" applyAlignment="1">
      <alignment horizontal="center"/>
    </xf>
    <xf numFmtId="166" fontId="0" fillId="4" borderId="4" xfId="0" applyNumberFormat="1" applyFill="1" applyBorder="1" applyAlignment="1">
      <alignment horizontal="center"/>
    </xf>
    <xf numFmtId="166" fontId="0" fillId="4" borderId="6" xfId="0" applyNumberFormat="1" applyFill="1" applyBorder="1" applyAlignment="1">
      <alignment horizontal="center"/>
    </xf>
    <xf numFmtId="166" fontId="0" fillId="4" borderId="5" xfId="0" applyNumberFormat="1" applyFill="1" applyBorder="1" applyAlignment="1">
      <alignment horizontal="center"/>
    </xf>
    <xf numFmtId="164" fontId="3" fillId="3" borderId="0" xfId="2" applyNumberFormat="1" applyFont="1" applyFill="1" applyBorder="1" applyAlignment="1"/>
    <xf numFmtId="164" fontId="4" fillId="3" borderId="0" xfId="2" applyNumberFormat="1" applyFont="1" applyFill="1" applyBorder="1" applyAlignment="1"/>
    <xf numFmtId="166" fontId="0" fillId="4" borderId="1" xfId="0" applyNumberFormat="1" applyFill="1" applyBorder="1" applyAlignment="1">
      <alignment horizontal="center"/>
    </xf>
    <xf numFmtId="166" fontId="0" fillId="4" borderId="3" xfId="0" applyNumberFormat="1" applyFill="1" applyBorder="1" applyAlignment="1">
      <alignment horizontal="center"/>
    </xf>
    <xf numFmtId="166" fontId="0" fillId="4" borderId="2" xfId="0" applyNumberFormat="1" applyFill="1" applyBorder="1" applyAlignment="1">
      <alignment horizontal="center"/>
    </xf>
    <xf numFmtId="0" fontId="0" fillId="2" borderId="0" xfId="0" applyFill="1" applyAlignment="1">
      <alignment horizontal="center"/>
    </xf>
    <xf numFmtId="44" fontId="2" fillId="0" borderId="0" xfId="2" applyFont="1" applyAlignment="1">
      <alignment horizontal="center"/>
    </xf>
    <xf numFmtId="44" fontId="2" fillId="0" borderId="0" xfId="2" applyNumberFormat="1" applyFont="1" applyAlignment="1">
      <alignment horizontal="center"/>
    </xf>
    <xf numFmtId="0" fontId="2" fillId="4" borderId="0" xfId="0" applyFont="1" applyFill="1"/>
    <xf numFmtId="0" fontId="0" fillId="4" borderId="0" xfId="0" applyFill="1"/>
    <xf numFmtId="0" fontId="2" fillId="4" borderId="0" xfId="0" applyFont="1" applyFill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0" fontId="0" fillId="4" borderId="4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165" fontId="0" fillId="4" borderId="4" xfId="0" applyNumberFormat="1" applyFill="1" applyBorder="1"/>
    <xf numFmtId="166" fontId="0" fillId="4" borderId="5" xfId="2" applyNumberFormat="1" applyFont="1" applyFill="1" applyBorder="1"/>
    <xf numFmtId="168" fontId="0" fillId="0" borderId="0" xfId="0" applyNumberFormat="1" applyFont="1" applyAlignment="1">
      <alignment horizontal="center"/>
    </xf>
    <xf numFmtId="169" fontId="0" fillId="0" borderId="0" xfId="0" applyNumberFormat="1"/>
    <xf numFmtId="169" fontId="0" fillId="0" borderId="0" xfId="1" applyNumberFormat="1" applyFont="1"/>
    <xf numFmtId="170" fontId="0" fillId="0" borderId="0" xfId="3" applyNumberFormat="1" applyFont="1" applyAlignment="1">
      <alignment horizontal="center"/>
    </xf>
    <xf numFmtId="170" fontId="1" fillId="0" borderId="0" xfId="3" applyNumberFormat="1" applyFont="1" applyAlignment="1">
      <alignment horizontal="center"/>
    </xf>
    <xf numFmtId="44" fontId="0" fillId="2" borderId="0" xfId="2" applyNumberFormat="1" applyFont="1" applyFill="1"/>
    <xf numFmtId="0" fontId="6" fillId="0" borderId="0" xfId="0" applyFont="1"/>
    <xf numFmtId="0" fontId="0" fillId="0" borderId="0" xfId="0" applyAlignment="1">
      <alignment horizontal="right"/>
    </xf>
    <xf numFmtId="0" fontId="0" fillId="0" borderId="0" xfId="0" applyFont="1"/>
    <xf numFmtId="0" fontId="7" fillId="0" borderId="0" xfId="4" applyFont="1"/>
  </cellXfs>
  <cellStyles count="5">
    <cellStyle name="Comma" xfId="1" builtinId="3"/>
    <cellStyle name="Currency" xfId="2" builtinId="4"/>
    <cellStyle name="Hyperlink" xfId="4" builtinId="8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43</xdr:row>
      <xdr:rowOff>180975</xdr:rowOff>
    </xdr:from>
    <xdr:to>
      <xdr:col>8</xdr:col>
      <xdr:colOff>530145</xdr:colOff>
      <xdr:row>72</xdr:row>
      <xdr:rowOff>24973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8429625"/>
          <a:ext cx="10007520" cy="536849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rd.govt.nz/income-tax/income-tax-for-individuals/tax-codes-and-tax-rates-for-individuals/tax-rates-for-individuals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ird.govt.nz/income-tax/income-tax-for-individuals/acc-clients-and-carers/acc-earners-levy-rates" TargetMode="External"/><Relationship Id="rId1" Type="http://schemas.openxmlformats.org/officeDocument/2006/relationships/hyperlink" Target="https://www.ird.govt.nz/paye-calculato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timcrack@alum.mit.edu" TargetMode="External"/><Relationship Id="rId4" Type="http://schemas.openxmlformats.org/officeDocument/2006/relationships/hyperlink" Target="https://www.ird.govt.nz/employing-staff/deductions-from-income/employer-superannuation-contriibution-tax-es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zoomScaleNormal="100" workbookViewId="0">
      <selection activeCell="A4" sqref="A4"/>
    </sheetView>
  </sheetViews>
  <sheetFormatPr defaultRowHeight="15" x14ac:dyDescent="0.25"/>
  <cols>
    <col min="1" max="1" width="40.140625" customWidth="1"/>
    <col min="2" max="2" width="21.42578125" customWidth="1"/>
    <col min="3" max="3" width="22.42578125" bestFit="1" customWidth="1"/>
    <col min="4" max="4" width="12.42578125" customWidth="1"/>
    <col min="5" max="5" width="10" bestFit="1" customWidth="1"/>
    <col min="6" max="6" width="13.85546875" customWidth="1"/>
    <col min="7" max="7" width="11.42578125" customWidth="1"/>
    <col min="8" max="8" width="12" customWidth="1"/>
    <col min="9" max="9" width="11.140625" bestFit="1" customWidth="1"/>
  </cols>
  <sheetData>
    <row r="1" spans="1:7" x14ac:dyDescent="0.25">
      <c r="A1" s="2" t="s">
        <v>48</v>
      </c>
      <c r="G1" s="2" t="s">
        <v>44</v>
      </c>
    </row>
    <row r="2" spans="1:7" x14ac:dyDescent="0.25">
      <c r="A2" s="38" t="s">
        <v>27</v>
      </c>
      <c r="G2" s="41" t="s">
        <v>45</v>
      </c>
    </row>
    <row r="3" spans="1:7" x14ac:dyDescent="0.25">
      <c r="A3" s="2"/>
    </row>
    <row r="4" spans="1:7" x14ac:dyDescent="0.25">
      <c r="A4" s="2" t="s">
        <v>0</v>
      </c>
      <c r="B4" s="7">
        <f>70000</f>
        <v>70000</v>
      </c>
      <c r="C4" t="s">
        <v>33</v>
      </c>
    </row>
    <row r="5" spans="1:7" x14ac:dyDescent="0.25">
      <c r="A5" t="s">
        <v>17</v>
      </c>
      <c r="B5" s="19">
        <f>ROUND(B4/(365/14),2)</f>
        <v>2684.93</v>
      </c>
      <c r="C5" t="s">
        <v>34</v>
      </c>
    </row>
    <row r="6" spans="1:7" x14ac:dyDescent="0.25">
      <c r="A6" t="s">
        <v>39</v>
      </c>
      <c r="B6" s="7">
        <f>B5*26</f>
        <v>69808.179999999993</v>
      </c>
      <c r="C6" t="s">
        <v>40</v>
      </c>
    </row>
    <row r="7" spans="1:7" x14ac:dyDescent="0.25">
      <c r="A7" t="s">
        <v>14</v>
      </c>
      <c r="B7" s="7">
        <f>D24</f>
        <v>13162.953999999998</v>
      </c>
      <c r="C7" t="s">
        <v>35</v>
      </c>
    </row>
    <row r="8" spans="1:7" x14ac:dyDescent="0.25">
      <c r="A8" t="s">
        <v>18</v>
      </c>
      <c r="B8" s="19">
        <f>TRUNC(B7/26,2)</f>
        <v>506.26</v>
      </c>
    </row>
    <row r="9" spans="1:7" x14ac:dyDescent="0.25">
      <c r="A9" t="s">
        <v>16</v>
      </c>
      <c r="B9" s="19">
        <f>TRUNC(D9*B5,2)</f>
        <v>46.98</v>
      </c>
      <c r="C9" s="39" t="s">
        <v>36</v>
      </c>
      <c r="D9" s="18">
        <v>1.7500000000000002E-2</v>
      </c>
      <c r="E9" s="6" t="s">
        <v>28</v>
      </c>
    </row>
    <row r="10" spans="1:7" x14ac:dyDescent="0.25">
      <c r="A10" t="s">
        <v>15</v>
      </c>
      <c r="B10" s="19">
        <f>SUM(B8:B9)</f>
        <v>553.24</v>
      </c>
      <c r="C10" s="38" t="s">
        <v>31</v>
      </c>
    </row>
    <row r="11" spans="1:7" x14ac:dyDescent="0.25">
      <c r="A11" s="6" t="s">
        <v>7</v>
      </c>
      <c r="B11" s="37">
        <v>553.24</v>
      </c>
      <c r="C11" t="s">
        <v>47</v>
      </c>
    </row>
    <row r="12" spans="1:7" x14ac:dyDescent="0.25">
      <c r="A12" t="s">
        <v>19</v>
      </c>
      <c r="B12" s="35">
        <v>0.1</v>
      </c>
      <c r="C12" t="s">
        <v>32</v>
      </c>
    </row>
    <row r="13" spans="1:7" x14ac:dyDescent="0.25">
      <c r="A13" t="s">
        <v>1</v>
      </c>
      <c r="B13" s="35">
        <v>0.04</v>
      </c>
      <c r="C13" t="s">
        <v>43</v>
      </c>
    </row>
    <row r="14" spans="1:7" x14ac:dyDescent="0.25">
      <c r="A14" t="s">
        <v>23</v>
      </c>
      <c r="B14" s="20">
        <f>TRUNC(B12*B5,2)</f>
        <v>268.49</v>
      </c>
    </row>
    <row r="15" spans="1:7" x14ac:dyDescent="0.25">
      <c r="A15" t="s">
        <v>22</v>
      </c>
      <c r="B15" s="8">
        <f>TRUNC(B13*B5,2)</f>
        <v>107.39</v>
      </c>
    </row>
    <row r="16" spans="1:7" x14ac:dyDescent="0.25">
      <c r="A16" t="s">
        <v>8</v>
      </c>
      <c r="B16" s="35">
        <f t="array" ref="B16">SUM(A38:A42*D38:D42)</f>
        <v>0.3</v>
      </c>
      <c r="C16" t="s">
        <v>37</v>
      </c>
    </row>
    <row r="17" spans="1:6" x14ac:dyDescent="0.25">
      <c r="A17" t="s">
        <v>30</v>
      </c>
      <c r="B17" s="19">
        <f>TRUNC(B15,0)*B16</f>
        <v>32.1</v>
      </c>
      <c r="C17" s="40" t="s">
        <v>41</v>
      </c>
    </row>
    <row r="18" spans="1:6" x14ac:dyDescent="0.25">
      <c r="A18" t="s">
        <v>20</v>
      </c>
      <c r="B18" s="8">
        <f>B15-B17</f>
        <v>75.289999999999992</v>
      </c>
    </row>
    <row r="19" spans="1:6" x14ac:dyDescent="0.25">
      <c r="A19" t="s">
        <v>24</v>
      </c>
      <c r="B19" s="8">
        <f>B14/(1-B24)</f>
        <v>330.88045669020721</v>
      </c>
      <c r="C19" s="34"/>
    </row>
    <row r="20" spans="1:6" x14ac:dyDescent="0.25">
      <c r="A20" t="s">
        <v>25</v>
      </c>
      <c r="B20" s="8">
        <f>B19*365/14</f>
        <v>8626.526192280402</v>
      </c>
      <c r="C20" s="34"/>
    </row>
    <row r="21" spans="1:6" x14ac:dyDescent="0.25">
      <c r="A21" t="s">
        <v>26</v>
      </c>
      <c r="B21" s="36">
        <f>B20/B4</f>
        <v>0.1232360884611486</v>
      </c>
      <c r="C21" s="34" t="s">
        <v>42</v>
      </c>
    </row>
    <row r="22" spans="1:6" ht="15.75" thickBot="1" x14ac:dyDescent="0.3">
      <c r="C22" s="33"/>
    </row>
    <row r="23" spans="1:6" x14ac:dyDescent="0.25">
      <c r="A23" t="s">
        <v>12</v>
      </c>
      <c r="B23" s="32">
        <f t="array" ref="B23">SUM(A29:A33*F29:F33)</f>
        <v>0.3</v>
      </c>
      <c r="C23" s="9" t="s">
        <v>21</v>
      </c>
      <c r="D23" s="30">
        <f>B6</f>
        <v>69808.179999999993</v>
      </c>
    </row>
    <row r="24" spans="1:6" ht="15.75" thickBot="1" x14ac:dyDescent="0.3">
      <c r="A24" t="s">
        <v>13</v>
      </c>
      <c r="B24" s="32">
        <f t="array" ref="B24">SUM(A29:A33*D29:D33)/D23</f>
        <v>0.18855890527442484</v>
      </c>
      <c r="C24" s="9" t="s">
        <v>38</v>
      </c>
      <c r="D24" s="31">
        <f>SUM(E29:E33)</f>
        <v>13162.953999999998</v>
      </c>
    </row>
    <row r="25" spans="1:6" x14ac:dyDescent="0.25">
      <c r="C25" s="1"/>
    </row>
    <row r="27" spans="1:6" x14ac:dyDescent="0.25">
      <c r="A27" s="25" t="s">
        <v>2</v>
      </c>
      <c r="B27" s="26"/>
      <c r="C27" s="26"/>
      <c r="D27" s="22"/>
      <c r="E27" s="22"/>
      <c r="F27" s="22"/>
    </row>
    <row r="28" spans="1:6" ht="15.75" thickBot="1" x14ac:dyDescent="0.3">
      <c r="A28" s="24" t="s">
        <v>3</v>
      </c>
      <c r="B28" s="24" t="s">
        <v>4</v>
      </c>
      <c r="C28" s="24" t="s">
        <v>5</v>
      </c>
      <c r="D28" s="24" t="s">
        <v>11</v>
      </c>
      <c r="E28" s="24" t="s">
        <v>6</v>
      </c>
      <c r="F28" s="24" t="s">
        <v>10</v>
      </c>
    </row>
    <row r="29" spans="1:6" x14ac:dyDescent="0.25">
      <c r="A29" s="4">
        <v>0.105</v>
      </c>
      <c r="B29" s="13">
        <v>0</v>
      </c>
      <c r="C29" s="13">
        <v>15600</v>
      </c>
      <c r="D29" s="10">
        <f>(MIN($D$23,C29)-B29&gt;0)*(MIN($D$23,C29)-B29)</f>
        <v>15600</v>
      </c>
      <c r="E29" s="15">
        <f>(MIN($D$23,C29)-B29&gt;0)*(MIN($D$23,C29)-B29)*A29</f>
        <v>1638</v>
      </c>
      <c r="F29" s="27">
        <f>($D$23&gt;=B29)*($D$23&lt;=C29)</f>
        <v>0</v>
      </c>
    </row>
    <row r="30" spans="1:6" x14ac:dyDescent="0.25">
      <c r="A30" s="4">
        <v>0.17499999999999999</v>
      </c>
      <c r="B30" s="13">
        <f>C29</f>
        <v>15600</v>
      </c>
      <c r="C30" s="13">
        <v>53500</v>
      </c>
      <c r="D30" s="11">
        <f>(MIN($D$23,C30)-B30&gt;0)*(MIN($D$23,C30)-B30)</f>
        <v>37900</v>
      </c>
      <c r="E30" s="16">
        <f>(MIN($D$23,C30)-B30&gt;0)*(MIN($D$23,C30)-B30)*A30</f>
        <v>6632.5</v>
      </c>
      <c r="F30" s="28">
        <f>($D$23&gt;=B30)*($D$23&lt;=C30)</f>
        <v>0</v>
      </c>
    </row>
    <row r="31" spans="1:6" x14ac:dyDescent="0.25">
      <c r="A31" s="4">
        <v>0.3</v>
      </c>
      <c r="B31" s="13">
        <f>C30</f>
        <v>53500</v>
      </c>
      <c r="C31" s="13">
        <v>78100</v>
      </c>
      <c r="D31" s="11">
        <f>(MIN($D$23,C31)-B31&gt;0)*(MIN($D$23,C31)-B31)</f>
        <v>16308.179999999993</v>
      </c>
      <c r="E31" s="16">
        <f>(MIN($D$23,C31)-B31&gt;0)*(MIN($D$23,C31)-B31)*A31</f>
        <v>4892.4539999999979</v>
      </c>
      <c r="F31" s="28">
        <f>($D$23&gt;=B31)*($D$23&lt;=C31)</f>
        <v>1</v>
      </c>
    </row>
    <row r="32" spans="1:6" x14ac:dyDescent="0.25">
      <c r="A32" s="4">
        <v>0.33</v>
      </c>
      <c r="B32" s="13">
        <f>C31</f>
        <v>78100</v>
      </c>
      <c r="C32" s="13">
        <v>180000</v>
      </c>
      <c r="D32" s="11">
        <f>(MIN($D$23,C32)-B32&gt;0)*(MIN($D$23,C32)-B32)</f>
        <v>0</v>
      </c>
      <c r="E32" s="16">
        <f>(MIN($D$23,C32)-B32&gt;0)*(MIN($D$23,C32)-B32)*A32</f>
        <v>0</v>
      </c>
      <c r="F32" s="28">
        <f>($D$23&gt;=B32)*($D$23&lt;=C32)</f>
        <v>0</v>
      </c>
    </row>
    <row r="33" spans="1:6" ht="15.75" thickBot="1" x14ac:dyDescent="0.3">
      <c r="A33" s="4">
        <v>0.39</v>
      </c>
      <c r="B33" s="13">
        <f>C32</f>
        <v>180000</v>
      </c>
      <c r="C33" s="14">
        <v>10000000</v>
      </c>
      <c r="D33" s="12">
        <f>(MIN($D$23,C33)-B33&gt;0)*(MIN($D$23,C33)-B33)</f>
        <v>0</v>
      </c>
      <c r="E33" s="17">
        <f>(MIN($D$23,C33)-B33&gt;0)*(MIN($D$23,C33)-B33)*A33</f>
        <v>0</v>
      </c>
      <c r="F33" s="29">
        <f>($D$23&gt;=B33)*($D$23&lt;=C33)</f>
        <v>0</v>
      </c>
    </row>
    <row r="34" spans="1:6" x14ac:dyDescent="0.25">
      <c r="A34" s="6" t="s">
        <v>29</v>
      </c>
    </row>
    <row r="36" spans="1:6" x14ac:dyDescent="0.25">
      <c r="A36" s="21" t="s">
        <v>46</v>
      </c>
      <c r="B36" s="22"/>
      <c r="C36" s="22"/>
      <c r="D36" s="22"/>
    </row>
    <row r="37" spans="1:6" ht="15.75" thickBot="1" x14ac:dyDescent="0.3">
      <c r="A37" s="24" t="s">
        <v>3</v>
      </c>
      <c r="B37" s="24" t="s">
        <v>4</v>
      </c>
      <c r="C37" s="24" t="s">
        <v>5</v>
      </c>
      <c r="D37" s="23" t="s">
        <v>10</v>
      </c>
    </row>
    <row r="38" spans="1:6" x14ac:dyDescent="0.25">
      <c r="A38" s="4">
        <v>0.105</v>
      </c>
      <c r="B38" s="3">
        <v>0</v>
      </c>
      <c r="C38" s="3">
        <v>18720</v>
      </c>
      <c r="D38" s="27">
        <f>($D$23&gt;=B38)*($D$23&lt;=C38)</f>
        <v>0</v>
      </c>
    </row>
    <row r="39" spans="1:6" x14ac:dyDescent="0.25">
      <c r="A39" s="4">
        <v>0.17499999999999999</v>
      </c>
      <c r="B39" s="3">
        <f>C38</f>
        <v>18720</v>
      </c>
      <c r="C39" s="3">
        <v>64200</v>
      </c>
      <c r="D39" s="28">
        <f>($D$23&gt;=B39)*($D$23&lt;=C39)</f>
        <v>0</v>
      </c>
    </row>
    <row r="40" spans="1:6" x14ac:dyDescent="0.25">
      <c r="A40" s="4">
        <v>0.3</v>
      </c>
      <c r="B40" s="3">
        <f>C39</f>
        <v>64200</v>
      </c>
      <c r="C40" s="3">
        <v>93720</v>
      </c>
      <c r="D40" s="28">
        <f>($D$23&gt;=B40)*($D$23&lt;=C40)</f>
        <v>1</v>
      </c>
    </row>
    <row r="41" spans="1:6" x14ac:dyDescent="0.25">
      <c r="A41" s="4">
        <v>0.33</v>
      </c>
      <c r="B41" s="3">
        <f>C40</f>
        <v>93720</v>
      </c>
      <c r="C41" s="3">
        <v>216000</v>
      </c>
      <c r="D41" s="28">
        <f>($D$23&gt;=B41)*($D$23&lt;=C41)</f>
        <v>0</v>
      </c>
    </row>
    <row r="42" spans="1:6" ht="15.75" thickBot="1" x14ac:dyDescent="0.3">
      <c r="A42" s="4">
        <v>0.39</v>
      </c>
      <c r="B42" s="3">
        <f>C41</f>
        <v>216000</v>
      </c>
      <c r="C42" s="5">
        <v>10000000</v>
      </c>
      <c r="D42" s="29">
        <f>($D$23&gt;=B42)*($D$23&lt;=C42)</f>
        <v>0</v>
      </c>
    </row>
    <row r="43" spans="1:6" x14ac:dyDescent="0.25">
      <c r="A43" s="6" t="s">
        <v>9</v>
      </c>
    </row>
  </sheetData>
  <hyperlinks>
    <hyperlink ref="A11" r:id="rId1"/>
    <hyperlink ref="E9" r:id="rId2"/>
    <hyperlink ref="A34" r:id="rId3"/>
    <hyperlink ref="A43" r:id="rId4"/>
    <hyperlink ref="G2" r:id="rId5"/>
  </hyperlinks>
  <pageMargins left="0.7" right="0.7" top="0.75" bottom="0.75" header="0.3" footer="0.3"/>
  <pageSetup orientation="portrait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KiwiSaver Taxation Example</vt:lpstr>
    </vt:vector>
  </TitlesOfParts>
  <Company>Otago Business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Timothy Crack</dc:creator>
  <cp:lastModifiedBy>Timothy Crack</cp:lastModifiedBy>
  <dcterms:created xsi:type="dcterms:W3CDTF">2026-05-31T03:07:20Z</dcterms:created>
  <dcterms:modified xsi:type="dcterms:W3CDTF">2026-06-06T05:09:57Z</dcterms:modified>
</cp:coreProperties>
</file>